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rc en location" sheetId="1" r:id="rId1"/>
    <sheet name="parc en propr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<sst xmlns="http://schemas.openxmlformats.org/spreadsheetml/2006/main" count="186" uniqueCount="137">
  <si>
    <t>feuille de calcul des bénéfices de la régénération</t>
  </si>
  <si>
    <t>sur parc en location longue durée</t>
  </si>
  <si>
    <t>caractéristiques du parc</t>
  </si>
  <si>
    <t>types d'appareil</t>
  </si>
  <si>
    <t>durée moyenne de location</t>
  </si>
  <si>
    <t>transpalette</t>
  </si>
  <si>
    <t>chariot frontal</t>
  </si>
  <si>
    <t>rétract</t>
  </si>
  <si>
    <t>estimation patrimoine batterie</t>
  </si>
  <si>
    <t>laveuse</t>
  </si>
  <si>
    <t>coût entretien maintenance</t>
  </si>
  <si>
    <t>€</t>
  </si>
  <si>
    <t xml:space="preserve">TOTAL </t>
  </si>
  <si>
    <t>réduction des pannes électriques et électromécaniques</t>
  </si>
  <si>
    <t>gain de productivité du personnel</t>
  </si>
  <si>
    <t>parc affecté</t>
  </si>
  <si>
    <t xml:space="preserve">parc affecté </t>
  </si>
  <si>
    <t>€/jour</t>
  </si>
  <si>
    <t>coût chariot et cariste</t>
  </si>
  <si>
    <t>+2 ans</t>
  </si>
  <si>
    <t>arrêt pour changement engin ou batterie</t>
  </si>
  <si>
    <t>min/jour</t>
  </si>
  <si>
    <t xml:space="preserve">chute de rendement </t>
  </si>
  <si>
    <t>gain lié à la supression des arrêts par défaut de tenue de charge</t>
  </si>
  <si>
    <t>gain lié au maintien de la pleine productivité des chariots</t>
  </si>
  <si>
    <t>estimation coût annuel</t>
  </si>
  <si>
    <t xml:space="preserve">nombre de postes </t>
  </si>
  <si>
    <t>pertes par arrêts liés à un défaut de charge de la batterie</t>
  </si>
  <si>
    <t>pertes liées à la chute de rendement</t>
  </si>
  <si>
    <t>casse</t>
  </si>
  <si>
    <t>pneus</t>
  </si>
  <si>
    <t>divers</t>
  </si>
  <si>
    <t>mettre le nombre dans les cases correspondantes</t>
  </si>
  <si>
    <t>36 mois</t>
  </si>
  <si>
    <t>48 mois</t>
  </si>
  <si>
    <t>60 mois</t>
  </si>
  <si>
    <t>72 mois</t>
  </si>
  <si>
    <t>coût financier matériel</t>
  </si>
  <si>
    <t>total</t>
  </si>
  <si>
    <t>+1 an</t>
  </si>
  <si>
    <t>barèmes</t>
  </si>
  <si>
    <t xml:space="preserve">location </t>
  </si>
  <si>
    <t>financière</t>
  </si>
  <si>
    <t>84 mois</t>
  </si>
  <si>
    <t>96 mois</t>
  </si>
  <si>
    <t>prix de réf</t>
  </si>
  <si>
    <t>35% entr. Préventif</t>
  </si>
  <si>
    <t>35% pannes électromécaniques</t>
  </si>
  <si>
    <t>13% casse</t>
  </si>
  <si>
    <t>7% pneus</t>
  </si>
  <si>
    <t>10% divers</t>
  </si>
  <si>
    <t>coût entretien total</t>
  </si>
  <si>
    <t>écart n+1</t>
  </si>
  <si>
    <t>écart n+2</t>
  </si>
  <si>
    <t>économies sur loyers par an</t>
  </si>
  <si>
    <t>surplus en frais d'entretien en fin de contrat</t>
  </si>
  <si>
    <t>prolongation des contrats</t>
  </si>
  <si>
    <t>préventif</t>
  </si>
  <si>
    <t>loyers mensuels</t>
  </si>
  <si>
    <t>forfaits entretien annuel</t>
  </si>
  <si>
    <t>n+1</t>
  </si>
  <si>
    <t>n+2</t>
  </si>
  <si>
    <t>prolongation</t>
  </si>
  <si>
    <t>augmentation des frais d'entretiens</t>
  </si>
  <si>
    <t>bénéfices calculé</t>
  </si>
  <si>
    <t>surcoût</t>
  </si>
  <si>
    <t>pannes electro</t>
  </si>
  <si>
    <t>BENEFICES ECONOMIQUES SUR LOYERS</t>
  </si>
  <si>
    <t>BENEFICES ECONOMIQUES SUR ENTRETIEN</t>
  </si>
  <si>
    <t>l'application de la régénération préventive</t>
  </si>
  <si>
    <t>permet de réduire les pannes électromécaniques</t>
  </si>
  <si>
    <t>liées au déséquilibrage des batteries</t>
  </si>
  <si>
    <t>Taux de réduction pannes électromécaniques</t>
  </si>
  <si>
    <t>réduction immédiate des frais d'entretiens associés</t>
  </si>
  <si>
    <t>par an</t>
  </si>
  <si>
    <t>BENEFICE ECONOMIQUE SUR LE PERSONNEL</t>
  </si>
  <si>
    <t>personnel mobilisé pour la régénération des batteries</t>
  </si>
  <si>
    <t>régénération préventive</t>
  </si>
  <si>
    <t>coût horaire</t>
  </si>
  <si>
    <t>€/h</t>
  </si>
  <si>
    <t xml:space="preserve">nbre d'heure </t>
  </si>
  <si>
    <t>h par batterie</t>
  </si>
  <si>
    <t>TOTAL</t>
  </si>
  <si>
    <t>cout unitaire</t>
  </si>
  <si>
    <t>par batterie par an</t>
  </si>
  <si>
    <t>FIN DE CONTRAT</t>
  </si>
  <si>
    <t>ECONOMIE SUR FIN DE CONTRAT</t>
  </si>
  <si>
    <t>nbre de caristes par poste</t>
  </si>
  <si>
    <t>par jour</t>
  </si>
  <si>
    <t>nombre de jours travaillés</t>
  </si>
  <si>
    <t>TOTAL gains sur arrêts</t>
  </si>
  <si>
    <t>si double jeu</t>
  </si>
  <si>
    <t>coût horaire cariste et chariot</t>
  </si>
  <si>
    <t>BENEFICE ENERGETIQUE</t>
  </si>
  <si>
    <t>consomation liée à la régénération</t>
  </si>
  <si>
    <t>les cellules en jaune sont les cellules pré renseignées modifiables</t>
  </si>
  <si>
    <t>cellules à renseigner en fonction du cas étudié</t>
  </si>
  <si>
    <t>sur les batteries anciennes, ensuite sera appliqué la régénération préventive</t>
  </si>
  <si>
    <t xml:space="preserve">coût d'une régénération </t>
  </si>
  <si>
    <t>régénération de reconditionnement</t>
  </si>
  <si>
    <t>taux de régénération reconditionnement</t>
  </si>
  <si>
    <t>voltage</t>
  </si>
  <si>
    <t>volt</t>
  </si>
  <si>
    <t>ampérage</t>
  </si>
  <si>
    <t>A</t>
  </si>
  <si>
    <t>prix de l'électricité</t>
  </si>
  <si>
    <t>tarif jaune de base</t>
  </si>
  <si>
    <t>le kWh</t>
  </si>
  <si>
    <t>sur 8 mois</t>
  </si>
  <si>
    <t>sur 4 mois</t>
  </si>
  <si>
    <t>temps de pulsation</t>
  </si>
  <si>
    <t>ms</t>
  </si>
  <si>
    <t>temps de pause</t>
  </si>
  <si>
    <t>s</t>
  </si>
  <si>
    <t>coût energétique machine en réglages standards</t>
  </si>
  <si>
    <t>consomation</t>
  </si>
  <si>
    <t>COUT TOTAL SUR PARC</t>
  </si>
  <si>
    <t>coût reconditionnement</t>
  </si>
  <si>
    <t>coût préventif</t>
  </si>
  <si>
    <t>économies sur cycles de charge</t>
  </si>
  <si>
    <t>l'augmentation de résistance interne des batteries induit des surconsomations d'électricité</t>
  </si>
  <si>
    <t>à raison d'une augmentation progressive sur 5 ans</t>
  </si>
  <si>
    <t>moyenne par cycle</t>
  </si>
  <si>
    <t>kWh par cycle</t>
  </si>
  <si>
    <t>les surconsomation liée à la sulfatation des batteries ont été mesurée comme suit</t>
  </si>
  <si>
    <t>TOTAL gains sur consomations</t>
  </si>
  <si>
    <t>TOTAL gains sur rendements</t>
  </si>
  <si>
    <t>loyer régénérateur sur 5 ans</t>
  </si>
  <si>
    <t>au début d'application de la régénération sur le parc il sera procédé à des régénérations de reconditionnement</t>
  </si>
  <si>
    <t xml:space="preserve">charge constante </t>
  </si>
  <si>
    <t>h par cycle</t>
  </si>
  <si>
    <t>cycles</t>
  </si>
  <si>
    <t>coût par cycle</t>
  </si>
  <si>
    <t>moyenne annuelle</t>
  </si>
  <si>
    <t>€ par cycle</t>
  </si>
  <si>
    <t>heure pleines été</t>
  </si>
  <si>
    <t>heure pleines hiver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</si>
</sst>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000\ &quot;€&quot;"/>
    <numFmt numFmtId="167" formatCode="0.0000"/>
    <numFmt numFmtId="168" formatCode="#,##0\ _€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Alignment="1" quotePrefix="1">
      <alignment/>
    </xf>
    <xf numFmtId="0" fontId="0" fillId="3" borderId="7" xfId="0" applyFill="1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9" fontId="0" fillId="2" borderId="7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42" fontId="0" fillId="2" borderId="7" xfId="0" applyNumberFormat="1" applyFill="1" applyBorder="1" applyAlignment="1">
      <alignment/>
    </xf>
    <xf numFmtId="10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4" fontId="0" fillId="3" borderId="7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64" fontId="0" fillId="2" borderId="8" xfId="0" applyNumberFormat="1" applyFill="1" applyBorder="1" applyAlignment="1">
      <alignment/>
    </xf>
    <xf numFmtId="0" fontId="3" fillId="0" borderId="0" xfId="0" applyFont="1" applyAlignment="1">
      <alignment/>
    </xf>
    <xf numFmtId="9" fontId="0" fillId="2" borderId="8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8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4" fontId="0" fillId="4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6" fontId="0" fillId="4" borderId="7" xfId="0" applyNumberForma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9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5" borderId="0" xfId="0" applyFill="1" applyAlignment="1">
      <alignment/>
    </xf>
    <xf numFmtId="0" fontId="0" fillId="5" borderId="7" xfId="0" applyFill="1" applyBorder="1" applyAlignment="1">
      <alignment/>
    </xf>
    <xf numFmtId="0" fontId="0" fillId="5" borderId="11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2" fillId="4" borderId="7" xfId="0" applyNumberFormat="1" applyFont="1" applyFill="1" applyBorder="1" applyAlignment="1">
      <alignment/>
    </xf>
    <xf numFmtId="16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</xdr:rowOff>
    </xdr:from>
    <xdr:to>
      <xdr:col>2</xdr:col>
      <xdr:colOff>200025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90" zoomScaleNormal="90" workbookViewId="0" topLeftCell="A1">
      <selection activeCell="E13" sqref="E13"/>
    </sheetView>
  </sheetViews>
  <sheetFormatPr defaultColWidth="11.421875" defaultRowHeight="12.75"/>
  <cols>
    <col min="2" max="2" width="12.28125" style="0" customWidth="1"/>
    <col min="3" max="3" width="12.140625" style="0" bestFit="1" customWidth="1"/>
    <col min="4" max="4" width="12.57421875" style="0" customWidth="1"/>
    <col min="5" max="5" width="13.7109375" style="0" bestFit="1" customWidth="1"/>
    <col min="6" max="6" width="13.00390625" style="0" customWidth="1"/>
    <col min="7" max="7" width="13.57421875" style="0" customWidth="1"/>
    <col min="12" max="12" width="11.28125" style="0" customWidth="1"/>
  </cols>
  <sheetData>
    <row r="1" spans="5:11" ht="20.25">
      <c r="E1" s="1" t="s">
        <v>0</v>
      </c>
      <c r="F1" s="2"/>
      <c r="G1" s="2"/>
      <c r="H1" s="2"/>
      <c r="I1" s="2"/>
      <c r="J1" s="2"/>
      <c r="K1" s="3"/>
    </row>
    <row r="2" spans="5:11" ht="21" thickBot="1">
      <c r="E2" s="4" t="s">
        <v>1</v>
      </c>
      <c r="F2" s="5"/>
      <c r="G2" s="5"/>
      <c r="H2" s="5"/>
      <c r="I2" s="5"/>
      <c r="J2" s="5"/>
      <c r="K2" s="6"/>
    </row>
    <row r="4" spans="6:7" ht="12.75">
      <c r="F4" s="40"/>
      <c r="G4" t="s">
        <v>96</v>
      </c>
    </row>
    <row r="5" spans="6:7" ht="12.75">
      <c r="F5" s="10"/>
      <c r="G5" t="s">
        <v>95</v>
      </c>
    </row>
    <row r="6" spans="6:7" ht="12.75">
      <c r="F6" s="28"/>
      <c r="G6" t="s">
        <v>65</v>
      </c>
    </row>
    <row r="7" spans="6:7" ht="12.75">
      <c r="F7" s="27"/>
      <c r="G7" t="s">
        <v>64</v>
      </c>
    </row>
    <row r="9" spans="1:4" ht="12.75">
      <c r="A9" s="20" t="s">
        <v>2</v>
      </c>
      <c r="D9" t="s">
        <v>32</v>
      </c>
    </row>
    <row r="10" ht="12.75">
      <c r="D10" t="s">
        <v>4</v>
      </c>
    </row>
    <row r="11" spans="1:9" ht="13.5" thickBot="1">
      <c r="A11" t="s">
        <v>3</v>
      </c>
      <c r="C11" t="s">
        <v>45</v>
      </c>
      <c r="D11" t="s">
        <v>33</v>
      </c>
      <c r="E11" t="s">
        <v>34</v>
      </c>
      <c r="F11" t="s">
        <v>35</v>
      </c>
      <c r="G11" t="s">
        <v>36</v>
      </c>
      <c r="H11" t="s">
        <v>38</v>
      </c>
      <c r="I11" t="s">
        <v>58</v>
      </c>
    </row>
    <row r="12" spans="1:9" ht="13.5" thickBot="1">
      <c r="A12" t="s">
        <v>9</v>
      </c>
      <c r="C12" s="14">
        <v>5000</v>
      </c>
      <c r="D12" s="41"/>
      <c r="E12" s="41">
        <v>1</v>
      </c>
      <c r="F12" s="41"/>
      <c r="G12" s="41"/>
      <c r="H12" s="23">
        <f>SUM(D12:G12)</f>
        <v>1</v>
      </c>
      <c r="I12" s="22">
        <f>C12*(D12*C$21+E12*C$22+F12*C$23+G12*C$24)</f>
        <v>120</v>
      </c>
    </row>
    <row r="13" spans="1:9" ht="13.5" thickBot="1">
      <c r="A13" t="s">
        <v>5</v>
      </c>
      <c r="C13" s="14">
        <v>10000</v>
      </c>
      <c r="D13" s="41"/>
      <c r="E13" s="41"/>
      <c r="F13" s="41">
        <v>5</v>
      </c>
      <c r="G13" s="41"/>
      <c r="H13" s="21">
        <f>SUM(D13:G13)</f>
        <v>5</v>
      </c>
      <c r="I13" s="22">
        <f>C13*(D13*C$21+E13*C$22+F13*C$23+G13*C$24)</f>
        <v>1000</v>
      </c>
    </row>
    <row r="14" spans="1:9" ht="13.5" thickBot="1">
      <c r="A14" t="s">
        <v>6</v>
      </c>
      <c r="C14" s="14">
        <v>20000</v>
      </c>
      <c r="D14" s="41"/>
      <c r="E14" s="41"/>
      <c r="F14" s="41">
        <v>10</v>
      </c>
      <c r="G14" s="41"/>
      <c r="H14" s="21">
        <f>SUM(D14:G14)</f>
        <v>10</v>
      </c>
      <c r="I14" s="22">
        <f>C14*(D14*C$21+E14*C$22+F14*C$23+G14*C$24)</f>
        <v>4000</v>
      </c>
    </row>
    <row r="15" spans="1:9" ht="13.5" thickBot="1">
      <c r="A15" t="s">
        <v>7</v>
      </c>
      <c r="C15" s="14">
        <v>50000</v>
      </c>
      <c r="D15" s="42"/>
      <c r="E15" s="42"/>
      <c r="F15" s="42"/>
      <c r="G15" s="41">
        <v>3</v>
      </c>
      <c r="H15" s="23">
        <f>SUM(D15:G15)</f>
        <v>3</v>
      </c>
      <c r="I15" s="22">
        <f>C15*(D15*C$21+E15*C$22+F15*C$23+G15*C$24)</f>
        <v>2475</v>
      </c>
    </row>
    <row r="17" spans="2:5" ht="12.75">
      <c r="B17" s="20" t="s">
        <v>8</v>
      </c>
      <c r="E17" s="20" t="s">
        <v>25</v>
      </c>
    </row>
    <row r="18" spans="5:7" ht="13.5" thickBot="1">
      <c r="E18" t="s">
        <v>37</v>
      </c>
      <c r="G18" t="s">
        <v>10</v>
      </c>
    </row>
    <row r="19" spans="3:8" ht="13.5" thickBot="1">
      <c r="C19" s="16">
        <f>SUM(D12:G12)*500+SUM(D13:G13)*750+SUM(D14:G14)*3000+SUM(D15:G15)*6500</f>
        <v>53750</v>
      </c>
      <c r="D19" s="17" t="s">
        <v>11</v>
      </c>
      <c r="E19" s="16">
        <f>(C12*(D12*C21+E12*C22+F12*C23+G12*C24)+C13*(D13*C21+E13*C22+F13*C23+G13*C24)+C14*(D14*C21+E14*C22+F14*C23+G14*C24)+C15*(D15*C21+E15*C22+F15*C23+G15*C24))*12</f>
        <v>91140</v>
      </c>
      <c r="F19" t="s">
        <v>11</v>
      </c>
      <c r="G19" s="16">
        <f>G25*35%</f>
        <v>15049.999999999998</v>
      </c>
      <c r="H19" t="s">
        <v>46</v>
      </c>
    </row>
    <row r="20" spans="4:8" ht="13.5" thickBot="1">
      <c r="D20" t="s">
        <v>52</v>
      </c>
      <c r="E20" t="s">
        <v>53</v>
      </c>
      <c r="G20" s="16">
        <f>G25*35%</f>
        <v>15049.999999999998</v>
      </c>
      <c r="H20" t="s">
        <v>47</v>
      </c>
    </row>
    <row r="21" spans="1:12" ht="13.5" thickBot="1">
      <c r="A21" t="s">
        <v>40</v>
      </c>
      <c r="B21" t="s">
        <v>33</v>
      </c>
      <c r="C21" s="13">
        <v>0.03</v>
      </c>
      <c r="G21" s="16">
        <f>G25*13%</f>
        <v>5590</v>
      </c>
      <c r="H21" t="s">
        <v>48</v>
      </c>
      <c r="J21" t="s">
        <v>59</v>
      </c>
      <c r="L21" t="s">
        <v>38</v>
      </c>
    </row>
    <row r="22" spans="1:12" ht="13.5" thickBot="1">
      <c r="A22" t="s">
        <v>41</v>
      </c>
      <c r="B22" t="s">
        <v>34</v>
      </c>
      <c r="C22" s="13">
        <v>0.024</v>
      </c>
      <c r="D22" s="15">
        <f>(C21-C22)/C21</f>
        <v>0.19999999999999996</v>
      </c>
      <c r="E22" s="15"/>
      <c r="G22" s="16">
        <f>G25*7%</f>
        <v>3010.0000000000005</v>
      </c>
      <c r="H22" t="s">
        <v>49</v>
      </c>
      <c r="J22" s="11" t="s">
        <v>9</v>
      </c>
      <c r="K22" s="24">
        <v>1000</v>
      </c>
      <c r="L22" s="17">
        <f>H12*K22</f>
        <v>1000</v>
      </c>
    </row>
    <row r="23" spans="1:12" ht="13.5" thickBot="1">
      <c r="A23" t="s">
        <v>42</v>
      </c>
      <c r="B23" t="s">
        <v>35</v>
      </c>
      <c r="C23" s="13">
        <v>0.02</v>
      </c>
      <c r="D23" s="15">
        <f>(C22-C23)/C22</f>
        <v>0.16666666666666666</v>
      </c>
      <c r="E23" s="15">
        <f>(C21-C23)/C21</f>
        <v>0.3333333333333333</v>
      </c>
      <c r="G23" s="16">
        <f>G25*10%</f>
        <v>4300</v>
      </c>
      <c r="H23" t="s">
        <v>50</v>
      </c>
      <c r="J23" s="11" t="s">
        <v>5</v>
      </c>
      <c r="K23" s="24">
        <v>1000</v>
      </c>
      <c r="L23" s="17">
        <f>H13*K23</f>
        <v>5000</v>
      </c>
    </row>
    <row r="24" spans="2:12" ht="13.5" thickBot="1">
      <c r="B24" t="s">
        <v>36</v>
      </c>
      <c r="C24" s="13">
        <v>0.0165</v>
      </c>
      <c r="D24" s="15">
        <f>(C23-C24)/C23</f>
        <v>0.175</v>
      </c>
      <c r="E24" s="15">
        <f>(C22-C24)/C22</f>
        <v>0.3125</v>
      </c>
      <c r="G24" s="19"/>
      <c r="J24" s="11" t="s">
        <v>6</v>
      </c>
      <c r="K24" s="24">
        <v>2500</v>
      </c>
      <c r="L24" s="17">
        <f>H14*K24</f>
        <v>25000</v>
      </c>
    </row>
    <row r="25" spans="2:12" ht="13.5" thickBot="1">
      <c r="B25" t="s">
        <v>43</v>
      </c>
      <c r="C25" s="13">
        <v>0.014</v>
      </c>
      <c r="D25" s="15">
        <f>(C24-C25)/C24</f>
        <v>0.15151515151515155</v>
      </c>
      <c r="E25" s="15">
        <f>(C23-C25)/C23</f>
        <v>0.3</v>
      </c>
      <c r="G25" s="16">
        <f>L22+L23+L24+L25</f>
        <v>43000</v>
      </c>
      <c r="H25" t="s">
        <v>51</v>
      </c>
      <c r="J25" s="11" t="s">
        <v>7</v>
      </c>
      <c r="K25" s="24">
        <v>4000</v>
      </c>
      <c r="L25" s="17">
        <f>H15*K25</f>
        <v>12000</v>
      </c>
    </row>
    <row r="26" spans="2:5" ht="13.5" thickBot="1">
      <c r="B26" t="s">
        <v>44</v>
      </c>
      <c r="C26" s="13">
        <v>0.012</v>
      </c>
      <c r="D26" s="15">
        <f>(C25-C26)/C25</f>
        <v>0.14285714285714285</v>
      </c>
      <c r="E26" s="15">
        <f>(C24-C26)/C24</f>
        <v>0.27272727272727276</v>
      </c>
    </row>
    <row r="28" spans="1:6" ht="12.75">
      <c r="A28" s="20" t="s">
        <v>67</v>
      </c>
      <c r="F28" s="20" t="s">
        <v>85</v>
      </c>
    </row>
    <row r="29" spans="1:6" ht="12.75">
      <c r="A29" s="20" t="s">
        <v>56</v>
      </c>
      <c r="F29" s="20" t="s">
        <v>55</v>
      </c>
    </row>
    <row r="30" spans="3:8" ht="13.5" thickBot="1">
      <c r="C30" s="8" t="s">
        <v>39</v>
      </c>
      <c r="D30" s="8" t="s">
        <v>19</v>
      </c>
      <c r="F30" t="s">
        <v>60</v>
      </c>
      <c r="G30" t="s">
        <v>61</v>
      </c>
      <c r="H30" t="s">
        <v>63</v>
      </c>
    </row>
    <row r="31" spans="1:10" ht="13.5" thickBot="1">
      <c r="A31" t="s">
        <v>9</v>
      </c>
      <c r="C31" s="16">
        <f>12*C12*(D12*C$21*D$22+E12*C$22*D$23+F12*C$23*D$24+G12*C$24*D$25)</f>
        <v>240</v>
      </c>
      <c r="D31" s="16">
        <f>12*C12*(D12*C$21*E$23+E12*C$22*E$24+F12*C$23*E$25+G12*C$24*E$26)</f>
        <v>450</v>
      </c>
      <c r="F31" s="16">
        <f>L22*(I$32*35%+I$33*35%+I$34*13%+I$35*7%+I$36*10%)</f>
        <v>46.00000000000001</v>
      </c>
      <c r="G31" s="16">
        <f>L22*(J$32*35%+J$33*35%+J$34*13%+J$35*7%+J$36*10%)</f>
        <v>213.00000000000003</v>
      </c>
      <c r="I31" t="s">
        <v>60</v>
      </c>
      <c r="J31" t="s">
        <v>61</v>
      </c>
    </row>
    <row r="32" spans="1:10" ht="13.5" thickBot="1">
      <c r="A32" t="s">
        <v>5</v>
      </c>
      <c r="C32" s="16">
        <f>12*C13*(D13*C$21*D$22+E13*C$22*D$23+F13*C$23*D$24+G13*C$24*D$25)</f>
        <v>2100</v>
      </c>
      <c r="D32" s="16">
        <f>12*C13*(D13*C$21*E$23+E13*C$22*E$24+F13*C$23*E$25+G13*C$24*E$26)</f>
        <v>3600</v>
      </c>
      <c r="F32" s="16">
        <f>L23*(I$32*35%+I$33*35%+I$34*13%+I$35*7%+I$36*10%)</f>
        <v>230.00000000000003</v>
      </c>
      <c r="G32" s="16">
        <f>L23*(J$32*35%+J$33*35%+J$34*13%+J$35*7%+J$36*10%)</f>
        <v>1065</v>
      </c>
      <c r="H32" t="s">
        <v>57</v>
      </c>
      <c r="I32" s="26">
        <v>0</v>
      </c>
      <c r="J32" s="26">
        <v>0.2</v>
      </c>
    </row>
    <row r="33" spans="1:10" ht="13.5" thickBot="1">
      <c r="A33" t="s">
        <v>6</v>
      </c>
      <c r="C33" s="16">
        <f>12*C14*(D14*C$21*D$22+E14*C$22*D$23+F14*C$23*D$24+G14*C$24*D$25)</f>
        <v>8400</v>
      </c>
      <c r="D33" s="16">
        <f>12*C14*(D14*C$21*E$23+E14*C$22*E$24+F14*C$23*E$25+G14*C$24*E$26)</f>
        <v>14400</v>
      </c>
      <c r="F33" s="16">
        <f>L24*(I$32*35%+I$33*35%+I$34*13%+I$35*7%+I$36*10%)</f>
        <v>1150.0000000000002</v>
      </c>
      <c r="G33" s="16">
        <f>L24*(J$32*35%+J$33*35%+J$34*13%+J$35*7%+J$36*10%)</f>
        <v>5325.000000000001</v>
      </c>
      <c r="H33" t="s">
        <v>66</v>
      </c>
      <c r="I33" s="26">
        <v>0</v>
      </c>
      <c r="J33" s="26">
        <v>0.2</v>
      </c>
    </row>
    <row r="34" spans="1:10" ht="13.5" thickBot="1">
      <c r="A34" t="s">
        <v>7</v>
      </c>
      <c r="C34" s="16">
        <f>12*C15*(D15*C$21*D$22+E15*C$22*D$23+F15*C$23*D$24+G15*C$24*D$25)</f>
        <v>4500.000000000002</v>
      </c>
      <c r="D34" s="16">
        <f>12*C15*(D15*C$21*E$23+E15*C$22*E$24+F15*C$23*E$25+G15*C$24*E$26)</f>
        <v>8100.000000000001</v>
      </c>
      <c r="F34" s="16">
        <f>L25*(I$32*35%+I$33*35%+I$34*13%+I$35*7%+I$36*10%)</f>
        <v>552.0000000000001</v>
      </c>
      <c r="G34" s="16">
        <f>L25*(J$32*35%+J$33*35%+J$34*13%+J$35*7%+J$36*10%)</f>
        <v>2556.0000000000005</v>
      </c>
      <c r="H34" t="s">
        <v>29</v>
      </c>
      <c r="I34" s="26">
        <v>0.2</v>
      </c>
      <c r="J34" s="26">
        <v>0.3</v>
      </c>
    </row>
    <row r="35" spans="8:10" ht="13.5" thickBot="1">
      <c r="H35" t="s">
        <v>30</v>
      </c>
      <c r="I35" s="26">
        <v>0</v>
      </c>
      <c r="J35" s="26">
        <v>0.2</v>
      </c>
    </row>
    <row r="36" spans="1:10" ht="13.5" thickBot="1">
      <c r="A36" t="s">
        <v>127</v>
      </c>
      <c r="C36" s="34">
        <v>5280</v>
      </c>
      <c r="D36" s="34">
        <v>5280</v>
      </c>
      <c r="E36" t="s">
        <v>74</v>
      </c>
      <c r="F36" s="32">
        <f>SUM(F31:F34)</f>
        <v>1978.0000000000005</v>
      </c>
      <c r="G36" s="32">
        <f>SUM(G31:G34)</f>
        <v>9159.000000000002</v>
      </c>
      <c r="H36" t="s">
        <v>31</v>
      </c>
      <c r="I36" s="26">
        <v>0.2</v>
      </c>
      <c r="J36" s="26">
        <v>0.2</v>
      </c>
    </row>
    <row r="37" spans="2:5" ht="18.75" thickBot="1">
      <c r="B37" s="25" t="s">
        <v>12</v>
      </c>
      <c r="C37" s="35">
        <f>SUM(C31:C34)-C36</f>
        <v>9960.000000000002</v>
      </c>
      <c r="D37" s="35">
        <f>SUM(D31:D34)-D36</f>
        <v>21270</v>
      </c>
      <c r="E37" s="20" t="s">
        <v>74</v>
      </c>
    </row>
    <row r="38" spans="2:10" ht="13.5" thickBot="1">
      <c r="B38" t="s">
        <v>54</v>
      </c>
      <c r="F38" s="20" t="s">
        <v>86</v>
      </c>
      <c r="I38" t="s">
        <v>60</v>
      </c>
      <c r="J38" t="s">
        <v>61</v>
      </c>
    </row>
    <row r="39" spans="7:11" ht="13.5" thickBot="1">
      <c r="G39" t="s">
        <v>62</v>
      </c>
      <c r="H39" s="8" t="s">
        <v>39</v>
      </c>
      <c r="I39" s="36">
        <f>C37-F36</f>
        <v>7982.000000000002</v>
      </c>
      <c r="J39" s="37"/>
      <c r="K39" t="s">
        <v>74</v>
      </c>
    </row>
    <row r="40" spans="8:11" ht="13.5" thickBot="1">
      <c r="H40" s="8" t="s">
        <v>19</v>
      </c>
      <c r="I40" s="36">
        <f>D37-F36</f>
        <v>19292</v>
      </c>
      <c r="J40" s="36">
        <f>D37-G36</f>
        <v>12110.999999999998</v>
      </c>
      <c r="K40" t="s">
        <v>74</v>
      </c>
    </row>
    <row r="43" ht="12.75">
      <c r="A43" s="20" t="s">
        <v>68</v>
      </c>
    </row>
    <row r="45" ht="12.75">
      <c r="A45" s="20" t="s">
        <v>13</v>
      </c>
    </row>
    <row r="47" spans="1:6" ht="12.75">
      <c r="A47" t="s">
        <v>69</v>
      </c>
      <c r="F47" t="s">
        <v>72</v>
      </c>
    </row>
    <row r="48" spans="1:6" ht="12.75">
      <c r="A48" t="s">
        <v>70</v>
      </c>
      <c r="F48" s="26">
        <v>0.15</v>
      </c>
    </row>
    <row r="49" spans="1:6" ht="13.5" thickBot="1">
      <c r="A49" t="s">
        <v>71</v>
      </c>
      <c r="F49" t="s">
        <v>73</v>
      </c>
    </row>
    <row r="50" spans="6:7" ht="18.75" thickBot="1">
      <c r="F50" s="35">
        <f>F48*G20</f>
        <v>2257.4999999999995</v>
      </c>
      <c r="G50" t="s">
        <v>74</v>
      </c>
    </row>
    <row r="51" ht="12.75">
      <c r="F51" s="30"/>
    </row>
    <row r="52" spans="1:6" ht="12.75">
      <c r="A52" s="20" t="s">
        <v>75</v>
      </c>
      <c r="F52" s="30"/>
    </row>
    <row r="53" ht="12.75">
      <c r="F53" s="30"/>
    </row>
    <row r="54" spans="1:6" ht="12.75">
      <c r="A54" s="20" t="s">
        <v>76</v>
      </c>
      <c r="F54" s="30"/>
    </row>
    <row r="55" spans="1:6" ht="12.75">
      <c r="A55" t="s">
        <v>77</v>
      </c>
      <c r="F55" s="30"/>
    </row>
    <row r="56" spans="2:6" ht="12.75">
      <c r="B56" t="s">
        <v>78</v>
      </c>
      <c r="C56" s="29">
        <v>15.6</v>
      </c>
      <c r="D56" t="s">
        <v>79</v>
      </c>
      <c r="F56" s="30"/>
    </row>
    <row r="57" spans="2:4" ht="13.5" thickBot="1">
      <c r="B57" t="s">
        <v>80</v>
      </c>
      <c r="C57" s="29">
        <v>2</v>
      </c>
      <c r="D57" t="s">
        <v>81</v>
      </c>
    </row>
    <row r="58" spans="2:8" ht="13.5" thickBot="1">
      <c r="B58" t="s">
        <v>83</v>
      </c>
      <c r="C58" s="33">
        <f>C56*C57</f>
        <v>31.2</v>
      </c>
      <c r="D58" t="s">
        <v>84</v>
      </c>
      <c r="E58" s="31"/>
      <c r="F58" s="31" t="s">
        <v>82</v>
      </c>
      <c r="G58" s="32">
        <f>(H12+H13+H14+H15)*C58</f>
        <v>592.8</v>
      </c>
      <c r="H58" t="s">
        <v>74</v>
      </c>
    </row>
    <row r="59" spans="5:8" ht="12.75">
      <c r="E59" s="31"/>
      <c r="F59" s="17" t="s">
        <v>91</v>
      </c>
      <c r="G59" s="17">
        <f>G58*2</f>
        <v>1185.6</v>
      </c>
      <c r="H59" t="s">
        <v>74</v>
      </c>
    </row>
    <row r="60" ht="13.5" thickBot="1">
      <c r="A60" s="20" t="s">
        <v>14</v>
      </c>
    </row>
    <row r="61" spans="1:3" ht="13.5" thickBot="1">
      <c r="A61" t="s">
        <v>87</v>
      </c>
      <c r="C61" s="41">
        <v>13</v>
      </c>
    </row>
    <row r="62" spans="1:3" ht="13.5" thickBot="1">
      <c r="A62" t="s">
        <v>26</v>
      </c>
      <c r="C62" s="41">
        <v>1</v>
      </c>
    </row>
    <row r="63" spans="1:3" ht="13.5" thickBot="1">
      <c r="A63" t="s">
        <v>89</v>
      </c>
      <c r="C63" s="7">
        <v>220</v>
      </c>
    </row>
    <row r="64" ht="13.5" thickBot="1">
      <c r="A64" t="s">
        <v>27</v>
      </c>
    </row>
    <row r="65" spans="2:5" ht="13.5" thickBot="1">
      <c r="B65" t="s">
        <v>16</v>
      </c>
      <c r="E65" s="12">
        <f>20%</f>
        <v>0.2</v>
      </c>
    </row>
    <row r="66" spans="2:6" ht="13.5" thickBot="1">
      <c r="B66" t="s">
        <v>18</v>
      </c>
      <c r="E66" s="7">
        <v>150</v>
      </c>
      <c r="F66" t="s">
        <v>17</v>
      </c>
    </row>
    <row r="67" spans="2:6" ht="13.5" thickBot="1">
      <c r="B67" t="s">
        <v>20</v>
      </c>
      <c r="E67" s="7">
        <v>30</v>
      </c>
      <c r="F67" t="s">
        <v>21</v>
      </c>
    </row>
    <row r="68" ht="13.5" thickBot="1"/>
    <row r="69" spans="2:8" ht="13.5" thickBot="1">
      <c r="B69" t="s">
        <v>23</v>
      </c>
      <c r="G69" s="18">
        <f>C61*C62*E65*(E66/420)*E67</f>
        <v>27.857142857142858</v>
      </c>
      <c r="H69" t="s">
        <v>88</v>
      </c>
    </row>
    <row r="70" spans="5:8" ht="18.75" thickBot="1">
      <c r="E70" s="20" t="s">
        <v>90</v>
      </c>
      <c r="G70" s="35">
        <f>G69*C63</f>
        <v>6128.571428571428</v>
      </c>
      <c r="H70" t="s">
        <v>74</v>
      </c>
    </row>
    <row r="72" ht="13.5" thickBot="1">
      <c r="A72" s="20" t="s">
        <v>28</v>
      </c>
    </row>
    <row r="73" spans="1:4" ht="13.5" thickBot="1">
      <c r="A73" t="s">
        <v>22</v>
      </c>
      <c r="D73" s="12">
        <v>0.1</v>
      </c>
    </row>
    <row r="74" spans="1:4" ht="13.5" thickBot="1">
      <c r="A74" t="s">
        <v>15</v>
      </c>
      <c r="D74" s="38">
        <f>E65</f>
        <v>0.2</v>
      </c>
    </row>
    <row r="75" spans="1:5" ht="13.5" thickBot="1">
      <c r="A75" t="s">
        <v>92</v>
      </c>
      <c r="D75" s="39">
        <f>E66</f>
        <v>150</v>
      </c>
      <c r="E75" t="s">
        <v>17</v>
      </c>
    </row>
    <row r="76" ht="13.5" thickBot="1"/>
    <row r="77" spans="3:8" ht="13.5" thickBot="1">
      <c r="C77" t="s">
        <v>24</v>
      </c>
      <c r="G77" s="9">
        <f>D73*D74*D75*C61*C62</f>
        <v>39.00000000000001</v>
      </c>
      <c r="H77" t="s">
        <v>17</v>
      </c>
    </row>
    <row r="78" spans="5:8" ht="18.75" thickBot="1">
      <c r="E78" s="20" t="s">
        <v>126</v>
      </c>
      <c r="G78" s="35">
        <f>G77*C63</f>
        <v>8580.000000000002</v>
      </c>
      <c r="H78" t="s">
        <v>74</v>
      </c>
    </row>
    <row r="83" ht="12.75">
      <c r="A83" s="20" t="s">
        <v>93</v>
      </c>
    </row>
    <row r="85" ht="12.75">
      <c r="A85" s="20" t="s">
        <v>94</v>
      </c>
    </row>
    <row r="86" ht="12.75">
      <c r="A86" t="s">
        <v>128</v>
      </c>
    </row>
    <row r="87" ht="12.75">
      <c r="A87" t="s">
        <v>97</v>
      </c>
    </row>
    <row r="89" ht="13.5" thickBot="1">
      <c r="A89" s="20" t="s">
        <v>105</v>
      </c>
    </row>
    <row r="90" spans="1:7" ht="13.5" thickBot="1">
      <c r="A90" t="s">
        <v>106</v>
      </c>
      <c r="C90" t="s">
        <v>135</v>
      </c>
      <c r="D90" s="43"/>
      <c r="E90" s="44">
        <v>0.027</v>
      </c>
      <c r="F90" t="s">
        <v>107</v>
      </c>
      <c r="G90" t="s">
        <v>108</v>
      </c>
    </row>
    <row r="91" spans="3:7" ht="13.5" thickBot="1">
      <c r="C91" t="s">
        <v>136</v>
      </c>
      <c r="E91" s="44">
        <v>0.077</v>
      </c>
      <c r="F91" t="s">
        <v>107</v>
      </c>
      <c r="G91" t="s">
        <v>109</v>
      </c>
    </row>
    <row r="92" spans="3:6" ht="12.75">
      <c r="C92" t="s">
        <v>133</v>
      </c>
      <c r="D92" s="43"/>
      <c r="E92" s="46">
        <f>E90*0.6666+E91*0.333</f>
        <v>0.0436392</v>
      </c>
      <c r="F92" t="s">
        <v>107</v>
      </c>
    </row>
    <row r="94" spans="1:5" ht="12.75">
      <c r="A94" s="20" t="s">
        <v>114</v>
      </c>
      <c r="E94" s="20" t="s">
        <v>98</v>
      </c>
    </row>
    <row r="95" spans="1:9" ht="12.75">
      <c r="A95" t="s">
        <v>101</v>
      </c>
      <c r="C95" s="29">
        <v>400</v>
      </c>
      <c r="D95" t="s">
        <v>102</v>
      </c>
      <c r="E95" t="s">
        <v>99</v>
      </c>
      <c r="H95" s="29">
        <v>5</v>
      </c>
      <c r="I95" t="s">
        <v>131</v>
      </c>
    </row>
    <row r="96" spans="1:9" ht="12.75">
      <c r="A96" t="s">
        <v>103</v>
      </c>
      <c r="C96" s="29">
        <v>32</v>
      </c>
      <c r="D96" t="s">
        <v>104</v>
      </c>
      <c r="E96" t="s">
        <v>77</v>
      </c>
      <c r="H96" s="29">
        <v>1</v>
      </c>
      <c r="I96" t="s">
        <v>131</v>
      </c>
    </row>
    <row r="97" spans="1:4" ht="12.75">
      <c r="A97" t="s">
        <v>110</v>
      </c>
      <c r="C97" s="29">
        <v>200</v>
      </c>
      <c r="D97" t="s">
        <v>111</v>
      </c>
    </row>
    <row r="98" spans="1:8" ht="12.75">
      <c r="A98" t="s">
        <v>112</v>
      </c>
      <c r="C98" s="29">
        <v>3</v>
      </c>
      <c r="D98" t="s">
        <v>113</v>
      </c>
      <c r="E98" s="20" t="s">
        <v>100</v>
      </c>
      <c r="H98" s="26">
        <v>0.2</v>
      </c>
    </row>
    <row r="99" spans="1:4" ht="12.75">
      <c r="A99" t="s">
        <v>129</v>
      </c>
      <c r="C99" s="29">
        <v>1</v>
      </c>
      <c r="D99" t="s">
        <v>130</v>
      </c>
    </row>
    <row r="100" spans="1:4" ht="12.75">
      <c r="A100" t="s">
        <v>115</v>
      </c>
      <c r="C100" s="45">
        <f>12*2*C95*C96*(C97*0.001/(C98+C97*0.001))/1000</f>
        <v>19.2</v>
      </c>
      <c r="D100" t="s">
        <v>123</v>
      </c>
    </row>
    <row r="101" spans="1:4" ht="12.75">
      <c r="A101" t="s">
        <v>132</v>
      </c>
      <c r="C101" s="48">
        <f>C100*E92</f>
        <v>0.8378726400000001</v>
      </c>
      <c r="D101" t="s">
        <v>134</v>
      </c>
    </row>
    <row r="102" spans="5:8" ht="12.75">
      <c r="E102" t="s">
        <v>117</v>
      </c>
      <c r="G102" s="17">
        <f>(SUM(H12:H15)*H98)*H95*C101</f>
        <v>15.91958016</v>
      </c>
      <c r="H102" t="s">
        <v>74</v>
      </c>
    </row>
    <row r="103" spans="5:8" ht="13.5" thickBot="1">
      <c r="E103" t="s">
        <v>118</v>
      </c>
      <c r="G103" s="17">
        <f>(SUM(H12:H15)*(1-H98)*H96*C101)</f>
        <v>12.735664128000002</v>
      </c>
      <c r="H103" t="s">
        <v>74</v>
      </c>
    </row>
    <row r="104" spans="4:7" ht="13.5" thickBot="1">
      <c r="D104" s="20" t="s">
        <v>116</v>
      </c>
      <c r="G104" s="47">
        <f>G102+G103</f>
        <v>28.655244288000002</v>
      </c>
    </row>
    <row r="106" ht="12.75">
      <c r="A106" s="20" t="s">
        <v>119</v>
      </c>
    </row>
    <row r="107" ht="12.75">
      <c r="A107" t="s">
        <v>120</v>
      </c>
    </row>
    <row r="108" ht="12.75">
      <c r="A108" t="s">
        <v>121</v>
      </c>
    </row>
    <row r="109" ht="12.75">
      <c r="A109" t="s">
        <v>124</v>
      </c>
    </row>
    <row r="110" spans="2:7" ht="12.75">
      <c r="B110" t="s">
        <v>9</v>
      </c>
      <c r="D110">
        <v>4</v>
      </c>
      <c r="E110" t="s">
        <v>123</v>
      </c>
      <c r="F110" s="17">
        <f>D110*H12*(0.666*E$90+0.3333*E$91)*C$63</f>
        <v>38.408568</v>
      </c>
      <c r="G110" t="s">
        <v>74</v>
      </c>
    </row>
    <row r="111" spans="2:7" ht="12.75">
      <c r="B111" t="s">
        <v>5</v>
      </c>
      <c r="D111">
        <v>5</v>
      </c>
      <c r="E111" t="s">
        <v>123</v>
      </c>
      <c r="F111" s="17">
        <f>D111*H13*(0.666*E$90+0.3333*E$91)*C$63</f>
        <v>240.05355</v>
      </c>
      <c r="G111" t="s">
        <v>74</v>
      </c>
    </row>
    <row r="112" spans="2:7" ht="12.75">
      <c r="B112" t="s">
        <v>6</v>
      </c>
      <c r="D112">
        <v>9</v>
      </c>
      <c r="E112" t="s">
        <v>123</v>
      </c>
      <c r="F112" s="17">
        <f>D112*H14*(0.666*E$90+0.3333*E$91)*C$63</f>
        <v>864.19278</v>
      </c>
      <c r="G112" t="s">
        <v>74</v>
      </c>
    </row>
    <row r="113" spans="2:7" ht="12.75">
      <c r="B113" t="s">
        <v>7</v>
      </c>
      <c r="D113">
        <v>12</v>
      </c>
      <c r="E113" t="s">
        <v>123</v>
      </c>
      <c r="F113" s="17">
        <f>D113*H15*(0.666*E$90+0.3333*E$91)*C$63</f>
        <v>345.677112</v>
      </c>
      <c r="G113" t="s">
        <v>74</v>
      </c>
    </row>
    <row r="114" spans="4:6" ht="12.75">
      <c r="D114" t="s">
        <v>122</v>
      </c>
      <c r="F114" s="17"/>
    </row>
    <row r="115" ht="13.5" thickBot="1">
      <c r="F115" s="17"/>
    </row>
    <row r="116" spans="3:8" ht="18.75" thickBot="1">
      <c r="C116" s="25" t="s">
        <v>125</v>
      </c>
      <c r="G116" s="35">
        <f>SUM(F110:F113)-G104</f>
        <v>1459.6767657120001</v>
      </c>
      <c r="H116" t="s">
        <v>74</v>
      </c>
    </row>
  </sheetData>
  <printOptions/>
  <pageMargins left="0.2" right="0.19" top="0.31" bottom="0.41" header="0.22" footer="0.2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bert</cp:lastModifiedBy>
  <cp:lastPrinted>2007-01-04T08:18:28Z</cp:lastPrinted>
  <dcterms:created xsi:type="dcterms:W3CDTF">2006-12-22T13:22:48Z</dcterms:created>
  <dcterms:modified xsi:type="dcterms:W3CDTF">2007-01-12T15:55:43Z</dcterms:modified>
  <cp:category/>
  <cp:version/>
  <cp:contentType/>
  <cp:contentStatus/>
</cp:coreProperties>
</file>